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8505"/>
  </bookViews>
  <sheets>
    <sheet name="Planning" sheetId="1" r:id="rId1"/>
    <sheet name="Sheet3" sheetId="3" r:id="rId2"/>
  </sheets>
  <definedNames>
    <definedName name="ent_price">Planning!$N$3</definedName>
    <definedName name="ent_sales_apr_1">Planning!$E$18</definedName>
    <definedName name="ent_sales_apr_2">Planning!$Q$18</definedName>
    <definedName name="ent_sales_aug_1">Planning!$I$18</definedName>
    <definedName name="ent_sales_aug_2">Planning!$U$18</definedName>
    <definedName name="ent_sales_dec_1">Planning!$M$18</definedName>
    <definedName name="ent_sales_dec_2">Planning!$Y$18</definedName>
    <definedName name="ent_sales_feb_1">Planning!$C$18</definedName>
    <definedName name="ent_sales_feb_2">Planning!$O$18</definedName>
    <definedName name="ent_sales_jan_1">Planning!$B$18</definedName>
    <definedName name="ent_sales_jan_2">Planning!$N$18</definedName>
    <definedName name="ent_sales_jul_1">Planning!$H$18</definedName>
    <definedName name="ent_sales_jul_2">Planning!$T$18</definedName>
    <definedName name="ent_sales_jun_1">Planning!$G$18</definedName>
    <definedName name="ent_sales_jun_2">Planning!$S$18</definedName>
    <definedName name="ent_sales_mar_1">Planning!$D$18</definedName>
    <definedName name="ent_sales_mar_2">Planning!$P$18</definedName>
    <definedName name="ent_sales_may_1">Planning!$F$18</definedName>
    <definedName name="ent_sales_may_2">Planning!$R$18</definedName>
    <definedName name="ent_sales_nov_1">Planning!$L$18</definedName>
    <definedName name="ent_sales_nov_2">Planning!$X$18</definedName>
    <definedName name="ent_sales_oct_1">Planning!$K$18</definedName>
    <definedName name="ent_sales_oct_2">Planning!$W$18</definedName>
    <definedName name="ent_sales_sep_1">Planning!$J$18</definedName>
    <definedName name="ent_sales_sep_2">Planning!$V$18</definedName>
    <definedName name="sale_price">Planning!$J$3</definedName>
    <definedName name="sales_apr_1">Planning!$E$17</definedName>
    <definedName name="sales_apr_2">Planning!$Q$17</definedName>
    <definedName name="sales_aug_1">Planning!$I$17</definedName>
    <definedName name="sales_aug_2">Planning!$U$17</definedName>
    <definedName name="sales_dec_1">Planning!$M$17</definedName>
    <definedName name="sales_dec_2">Planning!$Y$17</definedName>
    <definedName name="sales_feb_1">Planning!$C$17</definedName>
    <definedName name="sales_feb_2">Planning!$O$17</definedName>
    <definedName name="sales_jan_1">Planning!$B$17</definedName>
    <definedName name="sales_jan_2">Planning!$N$17</definedName>
    <definedName name="sales_jul_1">Planning!$H$17</definedName>
    <definedName name="sales_jul_2">Planning!$T$17</definedName>
    <definedName name="sales_jun_1">Planning!$G$17</definedName>
    <definedName name="sales_jun_2">Planning!$S$17</definedName>
    <definedName name="sales_mar_01">Planning!$D$17</definedName>
    <definedName name="sales_mar_1">Planning!$D$17</definedName>
    <definedName name="sales_mar_2">Planning!$P$17</definedName>
    <definedName name="sales_may_1">Planning!$F$17</definedName>
    <definedName name="sales_may_2">Planning!$R$17</definedName>
    <definedName name="sales_nov_1">Planning!$L$17</definedName>
    <definedName name="sales_nov_2">Planning!$X$17</definedName>
    <definedName name="sales_oct_1">Planning!$K$17</definedName>
    <definedName name="sales_oct_2">Planning!$W$17</definedName>
    <definedName name="sales_sep_1">Planning!$J$17</definedName>
    <definedName name="sales_sep_2">Planning!$V$17</definedName>
    <definedName name="soc_price">Planning!$N$6</definedName>
    <definedName name="soc_sales_apr_1">Planning!$E$19</definedName>
    <definedName name="soc_sales_apr_2">Planning!$Q$19</definedName>
    <definedName name="soc_sales_aug_1">Planning!$I$19</definedName>
    <definedName name="soc_sales_aug_2">Planning!$U$19</definedName>
    <definedName name="soc_sales_dec_1">Planning!$M$19</definedName>
    <definedName name="soc_sales_dec_2">Planning!$Y$19</definedName>
    <definedName name="soc_sales_feb_1">Planning!$C$19</definedName>
    <definedName name="soc_sales_feb_2">Planning!$O$19</definedName>
    <definedName name="soc_sales_jan_1">Planning!$B$19</definedName>
    <definedName name="soc_sales_jan_2">Planning!$N$19</definedName>
    <definedName name="soc_sales_jul_1">Planning!$H$19</definedName>
    <definedName name="soc_sales_jul_2">Planning!$T$19</definedName>
    <definedName name="soc_sales_jun_1">Planning!$G$19</definedName>
    <definedName name="soc_sales_jun_2">Planning!$S$19</definedName>
    <definedName name="soc_sales_mar_1">Planning!$D$19</definedName>
    <definedName name="soc_sales_mar_2">Planning!$P$19</definedName>
    <definedName name="soc_sales_may_1">Planning!$F$19</definedName>
    <definedName name="soc_sales_may_2">Planning!$R$19</definedName>
    <definedName name="soc_sales_nov_1">Planning!$L$19</definedName>
    <definedName name="soc_sales_nov_2">Planning!$X$19</definedName>
    <definedName name="soc_sales_oct_1">Planning!$K$19</definedName>
    <definedName name="soc_sales_oct_2">Planning!$W$19</definedName>
    <definedName name="soc_sales_sep_1">Planning!$J$19</definedName>
    <definedName name="soc_sales_sep_2">Planning!$V$19</definedName>
  </definedNames>
  <calcPr calcId="145621"/>
</workbook>
</file>

<file path=xl/calcChain.xml><?xml version="1.0" encoding="utf-8"?>
<calcChain xmlns="http://schemas.openxmlformats.org/spreadsheetml/2006/main">
  <c r="O43" i="1" l="1"/>
  <c r="Y43" i="1"/>
  <c r="X43" i="1"/>
  <c r="W43" i="1"/>
  <c r="V43" i="1"/>
  <c r="U43" i="1"/>
  <c r="T43" i="1"/>
  <c r="S43" i="1"/>
  <c r="R43" i="1"/>
  <c r="Q43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Y22" i="1"/>
  <c r="Y21" i="1"/>
  <c r="X22" i="1"/>
  <c r="X21" i="1"/>
  <c r="W22" i="1"/>
  <c r="W21" i="1"/>
  <c r="V22" i="1"/>
  <c r="V21" i="1"/>
  <c r="U22" i="1"/>
  <c r="U21" i="1"/>
  <c r="T22" i="1"/>
  <c r="T21" i="1"/>
  <c r="S22" i="1"/>
  <c r="S21" i="1"/>
  <c r="R22" i="1"/>
  <c r="R21" i="1"/>
  <c r="Q22" i="1"/>
  <c r="Q21" i="1"/>
  <c r="P22" i="1"/>
  <c r="P21" i="1"/>
  <c r="O22" i="1"/>
  <c r="O21" i="1"/>
  <c r="N22" i="1"/>
  <c r="N21" i="1"/>
  <c r="M22" i="1"/>
  <c r="M21" i="1"/>
  <c r="L22" i="1"/>
  <c r="L21" i="1"/>
  <c r="K22" i="1"/>
  <c r="K21" i="1"/>
  <c r="J22" i="1"/>
  <c r="J21" i="1"/>
  <c r="I22" i="1"/>
  <c r="I21" i="1"/>
  <c r="H22" i="1"/>
  <c r="H21" i="1"/>
  <c r="G22" i="1"/>
  <c r="G21" i="1"/>
  <c r="F22" i="1"/>
  <c r="F21" i="1"/>
  <c r="E22" i="1"/>
  <c r="E21" i="1"/>
  <c r="D22" i="1"/>
  <c r="D21" i="1"/>
  <c r="C22" i="1"/>
  <c r="C21" i="1"/>
  <c r="B22" i="1"/>
  <c r="B21" i="1"/>
  <c r="R20" i="1" l="1"/>
  <c r="R29" i="1" s="1"/>
  <c r="Y20" i="1"/>
  <c r="Y29" i="1" s="1"/>
  <c r="X20" i="1"/>
  <c r="X29" i="1" s="1"/>
  <c r="W20" i="1"/>
  <c r="W29" i="1" s="1"/>
  <c r="V20" i="1"/>
  <c r="V29" i="1" s="1"/>
  <c r="U20" i="1"/>
  <c r="U29" i="1" s="1"/>
  <c r="T20" i="1"/>
  <c r="T29" i="1" s="1"/>
  <c r="S20" i="1"/>
  <c r="S29" i="1" s="1"/>
  <c r="Q20" i="1"/>
  <c r="Q29" i="1" s="1"/>
  <c r="P20" i="1"/>
  <c r="P29" i="1" s="1"/>
  <c r="O20" i="1"/>
  <c r="O29" i="1" s="1"/>
  <c r="N20" i="1"/>
  <c r="N29" i="1" s="1"/>
  <c r="M20" i="1"/>
  <c r="M29" i="1" s="1"/>
  <c r="L20" i="1"/>
  <c r="L29" i="1" s="1"/>
  <c r="K20" i="1"/>
  <c r="K29" i="1" s="1"/>
  <c r="J20" i="1"/>
  <c r="I20" i="1"/>
  <c r="H20" i="1"/>
  <c r="G20" i="1"/>
  <c r="F20" i="1"/>
  <c r="E20" i="1"/>
  <c r="D20" i="1"/>
  <c r="C20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B20" i="1"/>
  <c r="J6" i="1"/>
  <c r="J8" i="1" s="1"/>
  <c r="B14" i="1"/>
  <c r="B27" i="1"/>
  <c r="J9" i="1"/>
  <c r="B24" i="1" l="1"/>
  <c r="B29" i="1" s="1"/>
  <c r="B38" i="1" s="1"/>
  <c r="P38" i="1"/>
  <c r="L38" i="1"/>
  <c r="O38" i="1"/>
  <c r="K38" i="1"/>
  <c r="R24" i="1"/>
  <c r="C38" i="1"/>
  <c r="T38" i="1"/>
  <c r="X38" i="1"/>
  <c r="Y38" i="1"/>
  <c r="M38" i="1"/>
  <c r="Q38" i="1"/>
  <c r="V38" i="1"/>
  <c r="R38" i="1"/>
  <c r="U38" i="1"/>
  <c r="N38" i="1"/>
  <c r="S38" i="1"/>
  <c r="W38" i="1"/>
  <c r="V24" i="1"/>
  <c r="F24" i="1"/>
  <c r="F29" i="1" s="1"/>
  <c r="F38" i="1" s="1"/>
  <c r="N24" i="1"/>
  <c r="C24" i="1"/>
  <c r="C29" i="1" s="1"/>
  <c r="K24" i="1"/>
  <c r="O24" i="1"/>
  <c r="W24" i="1"/>
  <c r="D24" i="1"/>
  <c r="D29" i="1" s="1"/>
  <c r="D38" i="1" s="1"/>
  <c r="H24" i="1"/>
  <c r="H29" i="1" s="1"/>
  <c r="H38" i="1" s="1"/>
  <c r="L24" i="1"/>
  <c r="P24" i="1"/>
  <c r="T24" i="1"/>
  <c r="X24" i="1"/>
  <c r="J24" i="1"/>
  <c r="J29" i="1" s="1"/>
  <c r="J38" i="1" s="1"/>
  <c r="G24" i="1"/>
  <c r="G29" i="1" s="1"/>
  <c r="G38" i="1" s="1"/>
  <c r="S24" i="1"/>
  <c r="E24" i="1"/>
  <c r="E29" i="1" s="1"/>
  <c r="E38" i="1" s="1"/>
  <c r="I24" i="1"/>
  <c r="I29" i="1" s="1"/>
  <c r="I38" i="1" s="1"/>
  <c r="M24" i="1"/>
  <c r="Q24" i="1"/>
  <c r="U24" i="1"/>
  <c r="Y24" i="1"/>
  <c r="B40" i="1" l="1"/>
  <c r="B44" i="1" s="1"/>
  <c r="E40" i="1"/>
  <c r="E44" i="1" s="1"/>
  <c r="S40" i="1"/>
  <c r="S44" i="1" s="1"/>
  <c r="Q40" i="1"/>
  <c r="Q44" i="1" s="1"/>
  <c r="Y40" i="1"/>
  <c r="Y44" i="1" s="1"/>
  <c r="O40" i="1"/>
  <c r="O44" i="1" s="1"/>
  <c r="U40" i="1"/>
  <c r="U44" i="1" s="1"/>
  <c r="X40" i="1"/>
  <c r="X44" i="1" s="1"/>
  <c r="H40" i="1"/>
  <c r="H44" i="1" s="1"/>
  <c r="V40" i="1"/>
  <c r="V44" i="1" s="1"/>
  <c r="N40" i="1"/>
  <c r="N44" i="1" s="1"/>
  <c r="J40" i="1"/>
  <c r="J44" i="1" s="1"/>
  <c r="R40" i="1"/>
  <c r="R44" i="1" s="1"/>
  <c r="I40" i="1"/>
  <c r="I44" i="1" s="1"/>
  <c r="T40" i="1"/>
  <c r="T44" i="1" s="1"/>
  <c r="G40" i="1"/>
  <c r="G44" i="1" s="1"/>
  <c r="L40" i="1"/>
  <c r="L44" i="1" s="1"/>
  <c r="M40" i="1"/>
  <c r="M44" i="1" s="1"/>
  <c r="W40" i="1"/>
  <c r="W44" i="1" s="1"/>
  <c r="F40" i="1"/>
  <c r="F44" i="1" s="1"/>
  <c r="K40" i="1"/>
  <c r="K44" i="1" s="1"/>
  <c r="P40" i="1"/>
  <c r="P44" i="1" s="1"/>
  <c r="D40" i="1"/>
  <c r="D44" i="1" s="1"/>
  <c r="C40" i="1"/>
  <c r="C44" i="1" s="1"/>
  <c r="B41" i="1"/>
  <c r="C14" i="1" s="1"/>
  <c r="C41" i="1" s="1"/>
  <c r="D14" i="1" s="1"/>
  <c r="D41" i="1" s="1"/>
  <c r="E14" i="1" s="1"/>
  <c r="E41" i="1" s="1"/>
  <c r="F14" i="1" s="1"/>
  <c r="F41" i="1" s="1"/>
  <c r="G14" i="1" s="1"/>
  <c r="G41" i="1" s="1"/>
  <c r="H14" i="1" s="1"/>
  <c r="H41" i="1" s="1"/>
  <c r="I14" i="1" s="1"/>
  <c r="I41" i="1" s="1"/>
  <c r="J14" i="1" s="1"/>
  <c r="J41" i="1" s="1"/>
  <c r="K14" i="1" s="1"/>
  <c r="K41" i="1" s="1"/>
  <c r="L14" i="1" s="1"/>
  <c r="L41" i="1" s="1"/>
  <c r="M14" i="1" s="1"/>
  <c r="M41" i="1" s="1"/>
  <c r="N14" i="1" s="1"/>
  <c r="N41" i="1" s="1"/>
  <c r="O14" i="1" s="1"/>
  <c r="O41" i="1" s="1"/>
  <c r="P14" i="1" s="1"/>
  <c r="P41" i="1" s="1"/>
  <c r="Q14" i="1" s="1"/>
  <c r="Q41" i="1" s="1"/>
  <c r="R14" i="1" s="1"/>
  <c r="R41" i="1" s="1"/>
  <c r="S14" i="1" s="1"/>
  <c r="S41" i="1" s="1"/>
  <c r="T14" i="1" s="1"/>
  <c r="T41" i="1" s="1"/>
  <c r="U14" i="1" s="1"/>
  <c r="U41" i="1" s="1"/>
  <c r="V14" i="1" s="1"/>
  <c r="V41" i="1" s="1"/>
  <c r="W14" i="1" s="1"/>
  <c r="W41" i="1" s="1"/>
  <c r="X14" i="1" s="1"/>
  <c r="X41" i="1" s="1"/>
  <c r="Y14" i="1" s="1"/>
  <c r="Y41" i="1" s="1"/>
</calcChain>
</file>

<file path=xl/comments1.xml><?xml version="1.0" encoding="utf-8"?>
<comments xmlns="http://schemas.openxmlformats.org/spreadsheetml/2006/main">
  <authors>
    <author>Jon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&lt;= How much do you sell your product or service for? (If a customer pays $9.99 two times each month, this is 19.98)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How much money can you charge, per seat, for an enterprise customer? This is usually higher than the consumer rate. 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&lt;= How big is the entire market potential for your product or service? (It's probably smaller than you think)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&lt;=  How large of the market will you be able to make aware of your product or service through advertising, marketing, word of mouth, etc?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&lt;= This is the most people that will be aware of your product.</t>
        </r>
      </text>
    </comment>
    <comment ref="N6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How much will you charge the social organizations you are helping, per user? This is usually greatly reduced, or free. 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&lt;= Of those that are aware of your product, how many will actually purchase it?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&lt;= This is the most people that will purchase your product per month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&lt;= This is the most revenue you can bring in, assuming the above. </t>
        </r>
      </text>
    </comment>
  </commentList>
</comments>
</file>

<file path=xl/sharedStrings.xml><?xml version="1.0" encoding="utf-8"?>
<sst xmlns="http://schemas.openxmlformats.org/spreadsheetml/2006/main" count="74" uniqueCount="62">
  <si>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</si>
  <si>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</si>
  <si>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</si>
  <si>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</si>
  <si>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</si>
  <si>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</si>
  <si>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</si>
  <si>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</si>
  <si>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</si>
  <si>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</si>
  <si>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</si>
  <si>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</si>
  <si>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 1</t>
  </si>
  <si>
    <t>Year 2</t>
  </si>
  <si>
    <t>Revenue</t>
  </si>
  <si>
    <t>Expenses</t>
  </si>
  <si>
    <t>Monthly Salary, Individual #1</t>
  </si>
  <si>
    <t>MonthlySalary, Individual #3</t>
  </si>
  <si>
    <t>Salaries</t>
  </si>
  <si>
    <t>Equipment</t>
  </si>
  <si>
    <t>Healthcare</t>
  </si>
  <si>
    <t>Insurance</t>
  </si>
  <si>
    <t>Travel</t>
  </si>
  <si>
    <t xml:space="preserve">Marketing </t>
  </si>
  <si>
    <t xml:space="preserve">Total potential market size: </t>
  </si>
  <si>
    <t>Total percentage of awareness:</t>
  </si>
  <si>
    <t xml:space="preserve">Total percentage (of awareness) that transact: </t>
  </si>
  <si>
    <t>Seed Funding</t>
  </si>
  <si>
    <t>Monthly Ending Balance</t>
  </si>
  <si>
    <t>Monthly Starting Balance</t>
  </si>
  <si>
    <t>(Note that taxes are not included in this model)</t>
  </si>
  <si>
    <t>Sale price of your service / product, per customer, per month:</t>
  </si>
  <si>
    <t>Revenue up-side per month:</t>
  </si>
  <si>
    <t xml:space="preserve">Total size of awareness: </t>
  </si>
  <si>
    <t>Service Fees (hosting, etc - usually a percentage of total revenue)</t>
  </si>
  <si>
    <t>Utilities (include heat, A/C, internet)</t>
  </si>
  <si>
    <t>Office Space / Rent / Parking</t>
  </si>
  <si>
    <t>Misc</t>
  </si>
  <si>
    <t xml:space="preserve">Total Revenue: </t>
  </si>
  <si>
    <t>Other Revenue (IP, grants, etc)</t>
  </si>
  <si>
    <t xml:space="preserve">Total Expenses: </t>
  </si>
  <si>
    <t>Monthly Profit / Loss</t>
  </si>
  <si>
    <t>Unsolicited Consumer Purchases</t>
  </si>
  <si>
    <t>Solicited Enterprise Purchases</t>
  </si>
  <si>
    <t>Subsidized Social Purchases</t>
  </si>
  <si>
    <t>Salaries and Funding</t>
  </si>
  <si>
    <t>Monthly Salary, Individual #2</t>
  </si>
  <si>
    <t>Projected number of consumer sales</t>
  </si>
  <si>
    <t>Projected number of enterprise sales (# of users)</t>
  </si>
  <si>
    <t>Projected number of social sales</t>
  </si>
  <si>
    <t>Revenue from consumer sales</t>
  </si>
  <si>
    <t>Revenue from enterprise sales</t>
  </si>
  <si>
    <t>Revenue from social sales</t>
  </si>
  <si>
    <t>Total Users Served</t>
  </si>
  <si>
    <t>Income Per User Served</t>
  </si>
  <si>
    <t>Legal</t>
  </si>
  <si>
    <t>Pay the most attention to the first four months.</t>
  </si>
  <si>
    <t xml:space="preserve">Fill in only the colored  squares. </t>
  </si>
  <si>
    <t>Triple-tiered Subsidy Worksheet</t>
  </si>
  <si>
    <t>Total monthly transactions:</t>
  </si>
  <si>
    <t>Cost per enterprise user:</t>
  </si>
  <si>
    <t>Cost per social purchase user: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</si>
</sst>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6" tint="-0.249977111117893"/>
      <name val="Calibri"/>
      <family val="2"/>
      <scheme val="minor"/>
    </font>
    <font>
      <sz val="8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 indent="1"/>
    </xf>
    <xf numFmtId="0" fontId="1" fillId="2" borderId="0" xfId="0" applyFont="1" applyFill="1"/>
    <xf numFmtId="0" fontId="3" fillId="2" borderId="0" xfId="0" applyFont="1" applyFill="1"/>
    <xf numFmtId="0" fontId="4" fillId="0" borderId="0" xfId="0" applyFont="1"/>
    <xf numFmtId="9" fontId="2" fillId="3" borderId="0" xfId="0" applyNumberFormat="1" applyFont="1" applyFill="1" applyAlignment="1">
      <alignment horizontal="center"/>
    </xf>
    <xf numFmtId="6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6" fontId="2" fillId="0" borderId="0" xfId="0" applyNumberFormat="1" applyFont="1"/>
    <xf numFmtId="164" fontId="2" fillId="0" borderId="0" xfId="0" applyNumberFormat="1" applyFont="1"/>
    <xf numFmtId="164" fontId="2" fillId="3" borderId="0" xfId="0" applyNumberFormat="1" applyFont="1" applyFill="1"/>
    <xf numFmtId="8" fontId="2" fillId="0" borderId="0" xfId="0" applyNumberFormat="1" applyFont="1"/>
    <xf numFmtId="2" fontId="2" fillId="0" borderId="0" xfId="0" applyNumberFormat="1" applyFont="1"/>
    <xf numFmtId="8" fontId="2" fillId="3" borderId="0" xfId="0" applyNumberFormat="1" applyFont="1" applyFill="1"/>
    <xf numFmtId="0" fontId="1" fillId="0" borderId="0" xfId="0" applyFont="1" applyAlignment="1">
      <alignment horizontal="left" indent="1"/>
    </xf>
    <xf numFmtId="8" fontId="1" fillId="0" borderId="0" xfId="0" applyNumberFormat="1" applyFont="1"/>
    <xf numFmtId="164" fontId="1" fillId="0" borderId="0" xfId="0" applyNumberFormat="1" applyFont="1"/>
    <xf numFmtId="8" fontId="4" fillId="0" borderId="0" xfId="0" applyNumberFormat="1" applyFont="1"/>
    <xf numFmtId="1" fontId="2" fillId="3" borderId="0" xfId="0" applyNumberFormat="1" applyFont="1" applyFill="1"/>
    <xf numFmtId="38" fontId="4" fillId="0" borderId="0" xfId="0" applyNumberFormat="1" applyFont="1"/>
    <xf numFmtId="6" fontId="2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left" indent="1"/>
    </xf>
    <xf numFmtId="1" fontId="2" fillId="4" borderId="0" xfId="0" applyNumberFormat="1" applyFont="1" applyFill="1"/>
    <xf numFmtId="6" fontId="2" fillId="5" borderId="0" xfId="0" applyNumberFormat="1" applyFont="1" applyFill="1" applyAlignment="1">
      <alignment horizontal="center"/>
    </xf>
    <xf numFmtId="0" fontId="8" fillId="0" borderId="0" xfId="0" applyFont="1" applyAlignment="1">
      <alignment horizontal="left" indent="1"/>
    </xf>
    <xf numFmtId="1" fontId="2" fillId="5" borderId="0" xfId="0" applyNumberFormat="1" applyFont="1" applyFill="1"/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6"/>
  <sheetViews>
    <sheetView tabSelected="1" zoomScale="130" zoomScaleNormal="130" workbookViewId="0">
      <pane xSplit="1" ySplit="13" topLeftCell="F34" activePane="bottomRight" state="frozen"/>
      <selection pane="topRight" activeCell="B1" sqref="B1"/>
      <selection pane="bottomLeft" activeCell="A14" sqref="A14"/>
      <selection pane="bottomRight" activeCell="L7" sqref="L7"/>
    </sheetView>
  </sheetViews>
  <sheetFormatPr defaultRowHeight="11.25" x14ac:dyDescent="0.2"/>
  <cols>
    <col min="1" max="1" width="34.28515625" style="2" customWidth="1"/>
    <col min="2" max="4" width="10.42578125" style="2" bestFit="1" customWidth="1"/>
    <col min="5" max="5" width="10.28515625" style="2" customWidth="1"/>
    <col min="6" max="6" width="10.85546875" style="2" customWidth="1"/>
    <col min="7" max="7" width="11.85546875" style="2" customWidth="1"/>
    <col min="8" max="8" width="11.28515625" style="2" customWidth="1"/>
    <col min="9" max="10" width="11.140625" style="2" customWidth="1"/>
    <col min="11" max="11" width="11.7109375" style="2" customWidth="1"/>
    <col min="12" max="13" width="12.140625" style="2" customWidth="1"/>
    <col min="14" max="14" width="11.140625" style="2" customWidth="1"/>
    <col min="15" max="25" width="11.42578125" style="2" bestFit="1" customWidth="1"/>
    <col min="26" max="16384" width="9.140625" style="2"/>
  </cols>
  <sheetData>
    <row r="1" spans="1:25" ht="12.75" x14ac:dyDescent="0.2">
      <c r="A1" s="8" t="s">
        <v>58</v>
      </c>
    </row>
    <row r="2" spans="1:25" x14ac:dyDescent="0.2">
      <c r="A2" s="2" t="s">
        <v>57</v>
      </c>
      <c r="B2" s="2" t="s">
        <v>45</v>
      </c>
      <c r="F2" s="1" t="s">
        <v>42</v>
      </c>
      <c r="L2" s="1" t="s">
        <v>43</v>
      </c>
    </row>
    <row r="3" spans="1:25" x14ac:dyDescent="0.2">
      <c r="A3" s="2" t="s">
        <v>56</v>
      </c>
      <c r="B3" s="4" t="s">
        <v>16</v>
      </c>
      <c r="C3" s="4"/>
      <c r="D3" s="14">
        <v>1500</v>
      </c>
      <c r="F3" s="4" t="s">
        <v>31</v>
      </c>
      <c r="G3" s="4"/>
      <c r="H3" s="4"/>
      <c r="I3" s="4"/>
      <c r="J3" s="10">
        <v>5</v>
      </c>
      <c r="L3" s="4" t="s">
        <v>60</v>
      </c>
      <c r="M3" s="4"/>
      <c r="N3" s="24">
        <v>20</v>
      </c>
      <c r="O3" s="4"/>
    </row>
    <row r="4" spans="1:25" x14ac:dyDescent="0.2">
      <c r="B4" s="4" t="s">
        <v>46</v>
      </c>
      <c r="C4" s="4"/>
      <c r="D4" s="14">
        <v>1500</v>
      </c>
      <c r="F4" s="4" t="s">
        <v>24</v>
      </c>
      <c r="G4" s="4"/>
      <c r="H4" s="4"/>
      <c r="I4" s="4"/>
      <c r="J4" s="11">
        <v>250000</v>
      </c>
      <c r="L4" s="4"/>
      <c r="M4" s="4"/>
      <c r="N4" s="4"/>
      <c r="O4" s="4"/>
      <c r="P4" s="4"/>
      <c r="Q4" s="4"/>
      <c r="R4" s="4"/>
    </row>
    <row r="5" spans="1:25" x14ac:dyDescent="0.2">
      <c r="B5" s="4" t="s">
        <v>17</v>
      </c>
      <c r="C5" s="4"/>
      <c r="D5" s="14">
        <v>1500</v>
      </c>
      <c r="F5" s="4" t="s">
        <v>25</v>
      </c>
      <c r="G5" s="4"/>
      <c r="H5" s="4"/>
      <c r="I5" s="4"/>
      <c r="J5" s="9">
        <v>0.05</v>
      </c>
      <c r="L5" s="1" t="s">
        <v>44</v>
      </c>
      <c r="O5" s="4"/>
      <c r="P5" s="4"/>
      <c r="Q5" s="4"/>
      <c r="R5" s="4"/>
    </row>
    <row r="6" spans="1:25" x14ac:dyDescent="0.2">
      <c r="A6" s="3"/>
      <c r="B6" s="3"/>
      <c r="C6" s="3"/>
      <c r="F6" s="4" t="s">
        <v>33</v>
      </c>
      <c r="G6" s="4"/>
      <c r="H6" s="4"/>
      <c r="I6" s="4"/>
      <c r="J6" s="2">
        <f>J4*J5</f>
        <v>12500</v>
      </c>
      <c r="L6" s="4" t="s">
        <v>61</v>
      </c>
      <c r="M6" s="4"/>
      <c r="N6" s="27">
        <v>0</v>
      </c>
      <c r="O6" s="4"/>
      <c r="P6" s="4"/>
      <c r="Q6" s="4"/>
      <c r="R6" s="4"/>
    </row>
    <row r="7" spans="1:25" x14ac:dyDescent="0.2">
      <c r="A7" s="3"/>
      <c r="B7" s="3"/>
      <c r="C7" s="3"/>
      <c r="D7" s="13"/>
      <c r="F7" s="4" t="s">
        <v>26</v>
      </c>
      <c r="G7" s="4"/>
      <c r="H7" s="4"/>
      <c r="I7" s="4"/>
      <c r="J7" s="9">
        <v>0.02</v>
      </c>
      <c r="L7" s="4"/>
      <c r="M7" s="4"/>
      <c r="N7" s="4"/>
      <c r="O7" s="4"/>
      <c r="P7" s="4"/>
      <c r="Q7" s="4"/>
      <c r="R7" s="4"/>
    </row>
    <row r="8" spans="1:25" x14ac:dyDescent="0.2">
      <c r="B8" s="4" t="s">
        <v>27</v>
      </c>
      <c r="C8" s="4"/>
      <c r="D8" s="14">
        <v>60000</v>
      </c>
      <c r="F8" s="4" t="s">
        <v>59</v>
      </c>
      <c r="G8" s="4"/>
      <c r="H8" s="4"/>
      <c r="I8" s="4"/>
      <c r="J8" s="2">
        <f>J6*J7</f>
        <v>250</v>
      </c>
      <c r="L8" s="4"/>
      <c r="M8" s="4"/>
      <c r="N8" s="4"/>
      <c r="O8" s="4"/>
      <c r="P8" s="4"/>
      <c r="Q8" s="4"/>
      <c r="R8" s="4"/>
    </row>
    <row r="9" spans="1:25" x14ac:dyDescent="0.2">
      <c r="F9" s="4" t="s">
        <v>32</v>
      </c>
      <c r="G9" s="4"/>
      <c r="H9" s="4"/>
      <c r="I9" s="4"/>
      <c r="J9" s="12">
        <f>J3*J4*J5*J7</f>
        <v>1250</v>
      </c>
      <c r="L9" s="4"/>
      <c r="M9" s="4"/>
      <c r="N9" s="4"/>
      <c r="O9" s="4"/>
      <c r="P9" s="4"/>
      <c r="Q9" s="4"/>
      <c r="R9" s="4"/>
    </row>
    <row r="11" spans="1:25" s="1" customFormat="1" x14ac:dyDescent="0.2">
      <c r="A11" s="6"/>
      <c r="B11" s="30" t="s">
        <v>12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 t="s">
        <v>13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s="1" customFormat="1" x14ac:dyDescent="0.2">
      <c r="A12" s="6"/>
      <c r="B12" s="7" t="s">
        <v>0</v>
      </c>
      <c r="C12" s="7" t="s">
        <v>1</v>
      </c>
      <c r="D12" s="7" t="s">
        <v>2</v>
      </c>
      <c r="E12" s="7" t="s">
        <v>3</v>
      </c>
      <c r="F12" s="7" t="s">
        <v>4</v>
      </c>
      <c r="G12" s="7" t="s">
        <v>5</v>
      </c>
      <c r="H12" s="7" t="s">
        <v>6</v>
      </c>
      <c r="I12" s="7" t="s">
        <v>7</v>
      </c>
      <c r="J12" s="7" t="s">
        <v>8</v>
      </c>
      <c r="K12" s="7" t="s">
        <v>9</v>
      </c>
      <c r="L12" s="7" t="s">
        <v>10</v>
      </c>
      <c r="M12" s="7" t="s">
        <v>11</v>
      </c>
      <c r="N12" s="7" t="s">
        <v>0</v>
      </c>
      <c r="O12" s="7" t="s">
        <v>1</v>
      </c>
      <c r="P12" s="7" t="s">
        <v>2</v>
      </c>
      <c r="Q12" s="7" t="s">
        <v>3</v>
      </c>
      <c r="R12" s="7" t="s">
        <v>4</v>
      </c>
      <c r="S12" s="7" t="s">
        <v>5</v>
      </c>
      <c r="T12" s="7" t="s">
        <v>6</v>
      </c>
      <c r="U12" s="7" t="s">
        <v>7</v>
      </c>
      <c r="V12" s="7" t="s">
        <v>8</v>
      </c>
      <c r="W12" s="7" t="s">
        <v>9</v>
      </c>
      <c r="X12" s="7" t="s">
        <v>10</v>
      </c>
      <c r="Y12" s="7" t="s">
        <v>11</v>
      </c>
    </row>
    <row r="14" spans="1:25" ht="12.75" x14ac:dyDescent="0.2">
      <c r="A14" s="8" t="s">
        <v>29</v>
      </c>
      <c r="B14" s="13">
        <f>D8</f>
        <v>60000</v>
      </c>
      <c r="C14" s="13">
        <f>B41</f>
        <v>54123.75</v>
      </c>
      <c r="D14" s="13">
        <f>C41</f>
        <v>48842.5</v>
      </c>
      <c r="E14" s="13">
        <f t="shared" ref="E14:Y14" si="0">D41</f>
        <v>43680</v>
      </c>
      <c r="F14" s="13">
        <f t="shared" si="0"/>
        <v>38636.25</v>
      </c>
      <c r="G14" s="13">
        <f t="shared" si="0"/>
        <v>33711.25</v>
      </c>
      <c r="H14" s="13">
        <f t="shared" si="0"/>
        <v>28998.75</v>
      </c>
      <c r="I14" s="13">
        <f t="shared" si="0"/>
        <v>26873.75</v>
      </c>
      <c r="J14" s="13">
        <f t="shared" si="0"/>
        <v>28523.75</v>
      </c>
      <c r="K14" s="13">
        <f t="shared" si="0"/>
        <v>36323.75</v>
      </c>
      <c r="L14" s="13">
        <f t="shared" si="0"/>
        <v>39473.75</v>
      </c>
      <c r="M14" s="13">
        <f t="shared" si="0"/>
        <v>38861.25</v>
      </c>
      <c r="N14" s="13">
        <f t="shared" si="0"/>
        <v>38486.25</v>
      </c>
      <c r="O14" s="13">
        <f t="shared" si="0"/>
        <v>42111.25</v>
      </c>
      <c r="P14" s="13">
        <f t="shared" si="0"/>
        <v>45736.25</v>
      </c>
      <c r="Q14" s="13">
        <f t="shared" si="0"/>
        <v>49361.25</v>
      </c>
      <c r="R14" s="13">
        <f t="shared" si="0"/>
        <v>52986.25</v>
      </c>
      <c r="S14" s="13">
        <f t="shared" si="0"/>
        <v>64611.25</v>
      </c>
      <c r="T14" s="13">
        <f t="shared" si="0"/>
        <v>76236.25</v>
      </c>
      <c r="U14" s="13">
        <f t="shared" si="0"/>
        <v>87861.25</v>
      </c>
      <c r="V14" s="13">
        <f t="shared" si="0"/>
        <v>99486.25</v>
      </c>
      <c r="W14" s="13">
        <f t="shared" si="0"/>
        <v>119111.25</v>
      </c>
      <c r="X14" s="13">
        <f t="shared" si="0"/>
        <v>138736.25</v>
      </c>
      <c r="Y14" s="13">
        <f t="shared" si="0"/>
        <v>158361.25</v>
      </c>
    </row>
    <row r="16" spans="1:25" ht="12.75" x14ac:dyDescent="0.2">
      <c r="A16" s="8" t="s">
        <v>14</v>
      </c>
    </row>
    <row r="17" spans="1:25" s="16" customFormat="1" x14ac:dyDescent="0.2">
      <c r="A17" s="5" t="s">
        <v>47</v>
      </c>
      <c r="B17" s="22">
        <v>5</v>
      </c>
      <c r="C17" s="22">
        <v>25</v>
      </c>
      <c r="D17" s="22">
        <v>50</v>
      </c>
      <c r="E17" s="22">
        <v>75</v>
      </c>
      <c r="F17" s="22">
        <v>100</v>
      </c>
      <c r="G17" s="22">
        <v>250</v>
      </c>
      <c r="H17" s="22">
        <v>500</v>
      </c>
      <c r="I17" s="22">
        <v>1000</v>
      </c>
      <c r="J17" s="22">
        <v>2000</v>
      </c>
      <c r="K17" s="22">
        <v>200</v>
      </c>
      <c r="L17" s="22">
        <v>250</v>
      </c>
      <c r="M17" s="22">
        <v>300</v>
      </c>
      <c r="N17" s="22">
        <v>300</v>
      </c>
      <c r="O17" s="22">
        <v>300</v>
      </c>
      <c r="P17" s="22">
        <v>300</v>
      </c>
      <c r="Q17" s="22">
        <v>300</v>
      </c>
      <c r="R17" s="22">
        <v>300</v>
      </c>
      <c r="S17" s="22">
        <v>300</v>
      </c>
      <c r="T17" s="22">
        <v>300</v>
      </c>
      <c r="U17" s="22">
        <v>300</v>
      </c>
      <c r="V17" s="22">
        <v>300</v>
      </c>
      <c r="W17" s="22">
        <v>300</v>
      </c>
      <c r="X17" s="22">
        <v>300</v>
      </c>
      <c r="Y17" s="22">
        <v>300</v>
      </c>
    </row>
    <row r="18" spans="1:25" s="16" customFormat="1" x14ac:dyDescent="0.2">
      <c r="A18" s="25" t="s">
        <v>48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100</v>
      </c>
      <c r="I18" s="26">
        <v>200</v>
      </c>
      <c r="J18" s="26">
        <v>300</v>
      </c>
      <c r="K18" s="26">
        <v>400</v>
      </c>
      <c r="L18" s="26">
        <v>200</v>
      </c>
      <c r="M18" s="26">
        <v>200</v>
      </c>
      <c r="N18" s="26">
        <v>400</v>
      </c>
      <c r="O18" s="26">
        <v>400</v>
      </c>
      <c r="P18" s="26">
        <v>400</v>
      </c>
      <c r="Q18" s="26">
        <v>400</v>
      </c>
      <c r="R18" s="26">
        <v>800</v>
      </c>
      <c r="S18" s="26">
        <v>800</v>
      </c>
      <c r="T18" s="26">
        <v>800</v>
      </c>
      <c r="U18" s="26">
        <v>800</v>
      </c>
      <c r="V18" s="26">
        <v>1200</v>
      </c>
      <c r="W18" s="26">
        <v>1200</v>
      </c>
      <c r="X18" s="26">
        <v>1200</v>
      </c>
      <c r="Y18" s="26">
        <v>1200</v>
      </c>
    </row>
    <row r="19" spans="1:25" s="16" customFormat="1" x14ac:dyDescent="0.2">
      <c r="A19" s="28" t="s">
        <v>49</v>
      </c>
      <c r="B19" s="29">
        <v>5</v>
      </c>
      <c r="C19" s="29">
        <v>25</v>
      </c>
      <c r="D19" s="29">
        <v>50</v>
      </c>
      <c r="E19" s="29">
        <v>75</v>
      </c>
      <c r="F19" s="29">
        <v>100</v>
      </c>
      <c r="G19" s="29">
        <v>250</v>
      </c>
      <c r="H19" s="29">
        <v>500</v>
      </c>
      <c r="I19" s="29">
        <v>1000</v>
      </c>
      <c r="J19" s="29">
        <v>2000</v>
      </c>
      <c r="K19" s="29">
        <v>0</v>
      </c>
      <c r="L19" s="29">
        <v>0</v>
      </c>
      <c r="M19" s="29">
        <v>0</v>
      </c>
      <c r="N19" s="29">
        <v>50</v>
      </c>
      <c r="O19" s="29">
        <v>50</v>
      </c>
      <c r="P19" s="29">
        <v>100</v>
      </c>
      <c r="Q19" s="29">
        <v>100</v>
      </c>
      <c r="R19" s="29">
        <v>200</v>
      </c>
      <c r="S19" s="29">
        <v>200</v>
      </c>
      <c r="T19" s="29">
        <v>400</v>
      </c>
      <c r="U19" s="29">
        <v>400</v>
      </c>
      <c r="V19" s="29">
        <v>800</v>
      </c>
      <c r="W19" s="29">
        <v>800</v>
      </c>
      <c r="X19" s="29">
        <v>1200</v>
      </c>
      <c r="Y19" s="29">
        <v>1200</v>
      </c>
    </row>
    <row r="20" spans="1:25" x14ac:dyDescent="0.2">
      <c r="A20" s="5" t="s">
        <v>50</v>
      </c>
      <c r="B20" s="15">
        <f>sale_price*sales_jan_1</f>
        <v>25</v>
      </c>
      <c r="C20" s="15">
        <f>sale_price*sales_feb_1</f>
        <v>125</v>
      </c>
      <c r="D20" s="15">
        <f>sale_price*sales_mar_1</f>
        <v>250</v>
      </c>
      <c r="E20" s="15">
        <f>sale_price*sales_apr_1</f>
        <v>375</v>
      </c>
      <c r="F20" s="15">
        <f>sale_price*sales_may_1</f>
        <v>500</v>
      </c>
      <c r="G20" s="15">
        <f>sale_price*sales_jun_1</f>
        <v>1250</v>
      </c>
      <c r="H20" s="15">
        <f>sale_price*sales_jul_1</f>
        <v>2500</v>
      </c>
      <c r="I20" s="15">
        <f>sale_price*sales_aug_1</f>
        <v>5000</v>
      </c>
      <c r="J20" s="15">
        <f>sale_price*sales_sep_1</f>
        <v>10000</v>
      </c>
      <c r="K20" s="15">
        <f>sale_price*sales_oct_1</f>
        <v>1000</v>
      </c>
      <c r="L20" s="15">
        <f>sale_price*sales_nov_1</f>
        <v>1250</v>
      </c>
      <c r="M20" s="15">
        <f>sale_price*sales_dec_1</f>
        <v>1500</v>
      </c>
      <c r="N20" s="15">
        <f>sale_price*sales_jan_2</f>
        <v>1500</v>
      </c>
      <c r="O20" s="15">
        <f>sale_price*sales_feb_2</f>
        <v>1500</v>
      </c>
      <c r="P20" s="15">
        <f>sale_price*sales_mar_2</f>
        <v>1500</v>
      </c>
      <c r="Q20" s="15">
        <f>sale_price*sales_apr_2</f>
        <v>1500</v>
      </c>
      <c r="R20" s="15">
        <f>sale_price*sales_may_2</f>
        <v>1500</v>
      </c>
      <c r="S20" s="15">
        <f>sale_price*sales_jun_2</f>
        <v>1500</v>
      </c>
      <c r="T20" s="15">
        <f>sale_price*sales_jul_2</f>
        <v>1500</v>
      </c>
      <c r="U20" s="15">
        <f>sale_price*sales_aug_2</f>
        <v>1500</v>
      </c>
      <c r="V20" s="15">
        <f>sale_price*sales_sep_2</f>
        <v>1500</v>
      </c>
      <c r="W20" s="15">
        <f>sale_price*sales_oct_2</f>
        <v>1500</v>
      </c>
      <c r="X20" s="15">
        <f>sale_price*sales_nov_2</f>
        <v>1500</v>
      </c>
      <c r="Y20" s="15">
        <f>sale_price*sales_dec_2</f>
        <v>1500</v>
      </c>
    </row>
    <row r="21" spans="1:25" x14ac:dyDescent="0.2">
      <c r="A21" s="25" t="s">
        <v>51</v>
      </c>
      <c r="B21" s="15">
        <f>ent_price*ent_sales_jan_1</f>
        <v>0</v>
      </c>
      <c r="C21" s="15">
        <f>ent_price*ent_sales_feb_1</f>
        <v>0</v>
      </c>
      <c r="D21" s="15">
        <f>ent_price*ent_sales_mar_1</f>
        <v>0</v>
      </c>
      <c r="E21" s="15">
        <f>ent_price*ent_sales_apr_1</f>
        <v>0</v>
      </c>
      <c r="F21" s="15">
        <f>ent_price*ent_sales_may_1</f>
        <v>0</v>
      </c>
      <c r="G21" s="15">
        <f>ent_price*ent_sales_jun_1</f>
        <v>0</v>
      </c>
      <c r="H21" s="15">
        <f>ent_price*ent_sales_jul_1</f>
        <v>2000</v>
      </c>
      <c r="I21" s="15">
        <f>ent_price*ent_sales_aug_1</f>
        <v>4000</v>
      </c>
      <c r="J21" s="15">
        <f>ent_price*ent_sales_sep_1</f>
        <v>6000</v>
      </c>
      <c r="K21" s="15">
        <f>ent_price*ent_sales_oct_1</f>
        <v>8000</v>
      </c>
      <c r="L21" s="15">
        <f>ent_price*ent_sales_nov_1</f>
        <v>4000</v>
      </c>
      <c r="M21" s="15">
        <f>ent_price*ent_sales_dec_1</f>
        <v>4000</v>
      </c>
      <c r="N21" s="15">
        <f>ent_price*ent_sales_jan_2</f>
        <v>8000</v>
      </c>
      <c r="O21" s="15">
        <f>ent_price*ent_sales_feb_2</f>
        <v>8000</v>
      </c>
      <c r="P21" s="15">
        <f>ent_price*ent_sales_mar_2</f>
        <v>8000</v>
      </c>
      <c r="Q21" s="15">
        <f>ent_price*ent_sales_apr_2</f>
        <v>8000</v>
      </c>
      <c r="R21" s="15">
        <f>ent_price*ent_sales_may_2</f>
        <v>16000</v>
      </c>
      <c r="S21" s="15">
        <f>ent_price*ent_sales_jun_2</f>
        <v>16000</v>
      </c>
      <c r="T21" s="15">
        <f>ent_price*ent_sales_jul_2</f>
        <v>16000</v>
      </c>
      <c r="U21" s="15">
        <f>ent_price*ent_sales_aug_2</f>
        <v>16000</v>
      </c>
      <c r="V21" s="15">
        <f>ent_price*ent_sales_sep_2</f>
        <v>24000</v>
      </c>
      <c r="W21" s="15">
        <f>ent_price*ent_sales_oct_2</f>
        <v>24000</v>
      </c>
      <c r="X21" s="15">
        <f>ent_price*ent_sales_nov_2</f>
        <v>24000</v>
      </c>
      <c r="Y21" s="15">
        <f>ent_price*ent_sales_dec_2</f>
        <v>24000</v>
      </c>
    </row>
    <row r="22" spans="1:25" x14ac:dyDescent="0.2">
      <c r="A22" s="28" t="s">
        <v>52</v>
      </c>
      <c r="B22" s="15">
        <f>soc_price*soc_sales_jan_1</f>
        <v>0</v>
      </c>
      <c r="C22" s="15">
        <f>soc_price*soc_sales_feb_1</f>
        <v>0</v>
      </c>
      <c r="D22" s="15">
        <f>soc_price*soc_sales_mar_1</f>
        <v>0</v>
      </c>
      <c r="E22" s="15">
        <f>soc_price*soc_sales_apr_1</f>
        <v>0</v>
      </c>
      <c r="F22" s="15">
        <f>soc_price*soc_sales_may_1</f>
        <v>0</v>
      </c>
      <c r="G22" s="15">
        <f>soc_price*soc_sales_jun_1</f>
        <v>0</v>
      </c>
      <c r="H22" s="15">
        <f>soc_price*soc_sales_jul_1</f>
        <v>0</v>
      </c>
      <c r="I22" s="15">
        <f>soc_price*soc_sales_aug_1</f>
        <v>0</v>
      </c>
      <c r="J22" s="15">
        <f>soc_price*soc_sales_sep_1</f>
        <v>0</v>
      </c>
      <c r="K22" s="15">
        <f>soc_price*soc_sales_oct_1</f>
        <v>0</v>
      </c>
      <c r="L22" s="15">
        <f>soc_price*soc_sales_nov_1</f>
        <v>0</v>
      </c>
      <c r="M22" s="15">
        <f>soc_price*soc_sales_dec_1</f>
        <v>0</v>
      </c>
      <c r="N22" s="15">
        <f>soc_price*soc_sales_jan_2</f>
        <v>0</v>
      </c>
      <c r="O22" s="15">
        <f>soc_price*soc_sales_feb_2</f>
        <v>0</v>
      </c>
      <c r="P22" s="15">
        <f>soc_price*soc_sales_mar_2</f>
        <v>0</v>
      </c>
      <c r="Q22" s="15">
        <f>soc_price*soc_sales_apr_2</f>
        <v>0</v>
      </c>
      <c r="R22" s="15">
        <f>soc_price*soc_sales_may_2</f>
        <v>0</v>
      </c>
      <c r="S22" s="15">
        <f>soc_price*soc_sales_jun_2</f>
        <v>0</v>
      </c>
      <c r="T22" s="15">
        <f>soc_price*soc_sales_jul_2</f>
        <v>0</v>
      </c>
      <c r="U22" s="15">
        <f>soc_price*soc_sales_aug_2</f>
        <v>0</v>
      </c>
      <c r="V22" s="15">
        <f>soc_price*soc_sales_sep_2</f>
        <v>0</v>
      </c>
      <c r="W22" s="15">
        <f>soc_price*soc_sales_oct_2</f>
        <v>0</v>
      </c>
      <c r="X22" s="15">
        <f>soc_price*soc_sales_nov_2</f>
        <v>0</v>
      </c>
      <c r="Y22" s="15">
        <f>soc_price*soc_sales_dec_2</f>
        <v>0</v>
      </c>
    </row>
    <row r="23" spans="1:25" x14ac:dyDescent="0.2">
      <c r="A23" s="5" t="s">
        <v>39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</row>
    <row r="24" spans="1:25" s="1" customFormat="1" x14ac:dyDescent="0.2">
      <c r="A24" s="18" t="s">
        <v>38</v>
      </c>
      <c r="B24" s="19">
        <f>SUM(B20:B23)</f>
        <v>25</v>
      </c>
      <c r="C24" s="19">
        <f t="shared" ref="C24:Y24" si="1">SUM(C20:C23)</f>
        <v>125</v>
      </c>
      <c r="D24" s="19">
        <f t="shared" si="1"/>
        <v>250</v>
      </c>
      <c r="E24" s="19">
        <f t="shared" si="1"/>
        <v>375</v>
      </c>
      <c r="F24" s="19">
        <f t="shared" si="1"/>
        <v>500</v>
      </c>
      <c r="G24" s="19">
        <f t="shared" si="1"/>
        <v>1250</v>
      </c>
      <c r="H24" s="19">
        <f t="shared" si="1"/>
        <v>4500</v>
      </c>
      <c r="I24" s="19">
        <f t="shared" si="1"/>
        <v>9000</v>
      </c>
      <c r="J24" s="19">
        <f t="shared" si="1"/>
        <v>16000</v>
      </c>
      <c r="K24" s="19">
        <f t="shared" si="1"/>
        <v>9000</v>
      </c>
      <c r="L24" s="19">
        <f t="shared" si="1"/>
        <v>5250</v>
      </c>
      <c r="M24" s="19">
        <f t="shared" si="1"/>
        <v>5500</v>
      </c>
      <c r="N24" s="19">
        <f t="shared" si="1"/>
        <v>9500</v>
      </c>
      <c r="O24" s="19">
        <f t="shared" si="1"/>
        <v>9500</v>
      </c>
      <c r="P24" s="19">
        <f t="shared" si="1"/>
        <v>9500</v>
      </c>
      <c r="Q24" s="19">
        <f t="shared" si="1"/>
        <v>9500</v>
      </c>
      <c r="R24" s="19">
        <f t="shared" si="1"/>
        <v>17500</v>
      </c>
      <c r="S24" s="19">
        <f t="shared" si="1"/>
        <v>17500</v>
      </c>
      <c r="T24" s="19">
        <f t="shared" si="1"/>
        <v>17500</v>
      </c>
      <c r="U24" s="19">
        <f t="shared" si="1"/>
        <v>17500</v>
      </c>
      <c r="V24" s="19">
        <f t="shared" si="1"/>
        <v>25500</v>
      </c>
      <c r="W24" s="19">
        <f t="shared" si="1"/>
        <v>25500</v>
      </c>
      <c r="X24" s="19">
        <f t="shared" si="1"/>
        <v>25500</v>
      </c>
      <c r="Y24" s="19">
        <f t="shared" si="1"/>
        <v>25500</v>
      </c>
    </row>
    <row r="26" spans="1:25" ht="12.75" x14ac:dyDescent="0.2">
      <c r="A26" s="8" t="s">
        <v>15</v>
      </c>
    </row>
    <row r="27" spans="1:25" x14ac:dyDescent="0.2">
      <c r="A27" s="5" t="s">
        <v>18</v>
      </c>
      <c r="B27" s="13">
        <f>SUM(D3:D5)</f>
        <v>4500</v>
      </c>
      <c r="C27" s="13">
        <f>SUM(D3:D5)</f>
        <v>4500</v>
      </c>
      <c r="D27" s="13">
        <f>SUM(D3:D5)</f>
        <v>4500</v>
      </c>
      <c r="E27" s="13">
        <f>SUM(D3:D5)</f>
        <v>4500</v>
      </c>
      <c r="F27" s="13">
        <f>SUM(D3:D5)</f>
        <v>4500</v>
      </c>
      <c r="G27" s="13">
        <f>SUM(D3:D5)</f>
        <v>4500</v>
      </c>
      <c r="H27" s="13">
        <f>SUM(D3:D5)</f>
        <v>4500</v>
      </c>
      <c r="I27" s="13">
        <f>SUM(D3:D5)</f>
        <v>4500</v>
      </c>
      <c r="J27" s="13">
        <f>SUM(D3:D5)</f>
        <v>4500</v>
      </c>
      <c r="K27" s="13">
        <f>SUM(D3:D5)</f>
        <v>4500</v>
      </c>
      <c r="L27" s="13">
        <f>SUM(D3:D5)</f>
        <v>4500</v>
      </c>
      <c r="M27" s="13">
        <f>SUM(D3:D5)</f>
        <v>4500</v>
      </c>
      <c r="N27" s="13">
        <f>SUM(D3:D5)</f>
        <v>4500</v>
      </c>
      <c r="O27" s="13">
        <f>SUM(D3:D5)</f>
        <v>4500</v>
      </c>
      <c r="P27" s="13">
        <f>SUM(D3:D5)</f>
        <v>4500</v>
      </c>
      <c r="Q27" s="13">
        <f>SUM(D3:D5)</f>
        <v>4500</v>
      </c>
      <c r="R27" s="13">
        <f>SUM(D3:D5)</f>
        <v>4500</v>
      </c>
      <c r="S27" s="13">
        <f>SUM(D3:D5)</f>
        <v>4500</v>
      </c>
      <c r="T27" s="13">
        <f>SUM(D3:D5)</f>
        <v>4500</v>
      </c>
      <c r="U27" s="13">
        <f>SUM(D3:D5)</f>
        <v>4500</v>
      </c>
      <c r="V27" s="13">
        <f>SUM(D3:D5)</f>
        <v>4500</v>
      </c>
      <c r="W27" s="13">
        <f>SUM(D3:D5)</f>
        <v>4500</v>
      </c>
      <c r="X27" s="13">
        <f>SUM(D3:D5)</f>
        <v>4500</v>
      </c>
      <c r="Y27" s="13">
        <f>SUM(D3:D5)</f>
        <v>4500</v>
      </c>
    </row>
    <row r="28" spans="1:25" x14ac:dyDescent="0.2">
      <c r="A28" s="5" t="s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x14ac:dyDescent="0.2">
      <c r="A29" s="5" t="s">
        <v>34</v>
      </c>
      <c r="B29" s="17">
        <f t="shared" ref="B29:J29" si="2">B24*0.05</f>
        <v>1.25</v>
      </c>
      <c r="C29" s="17">
        <f t="shared" si="2"/>
        <v>6.25</v>
      </c>
      <c r="D29" s="17">
        <f t="shared" si="2"/>
        <v>12.5</v>
      </c>
      <c r="E29" s="17">
        <f t="shared" si="2"/>
        <v>18.75</v>
      </c>
      <c r="F29" s="17">
        <f t="shared" si="2"/>
        <v>25</v>
      </c>
      <c r="G29" s="17">
        <f t="shared" si="2"/>
        <v>62.5</v>
      </c>
      <c r="H29" s="17">
        <f t="shared" si="2"/>
        <v>225</v>
      </c>
      <c r="I29" s="17">
        <f t="shared" si="2"/>
        <v>450</v>
      </c>
      <c r="J29" s="17">
        <f t="shared" si="2"/>
        <v>800</v>
      </c>
      <c r="K29" s="17">
        <f t="shared" ref="K29:Y29" si="3">K20*0.05</f>
        <v>50</v>
      </c>
      <c r="L29" s="17">
        <f t="shared" si="3"/>
        <v>62.5</v>
      </c>
      <c r="M29" s="17">
        <f t="shared" si="3"/>
        <v>75</v>
      </c>
      <c r="N29" s="17">
        <f t="shared" si="3"/>
        <v>75</v>
      </c>
      <c r="O29" s="17">
        <f t="shared" si="3"/>
        <v>75</v>
      </c>
      <c r="P29" s="17">
        <f t="shared" si="3"/>
        <v>75</v>
      </c>
      <c r="Q29" s="17">
        <f t="shared" si="3"/>
        <v>75</v>
      </c>
      <c r="R29" s="17">
        <f t="shared" si="3"/>
        <v>75</v>
      </c>
      <c r="S29" s="17">
        <f t="shared" si="3"/>
        <v>75</v>
      </c>
      <c r="T29" s="17">
        <f t="shared" si="3"/>
        <v>75</v>
      </c>
      <c r="U29" s="17">
        <f t="shared" si="3"/>
        <v>75</v>
      </c>
      <c r="V29" s="17">
        <f t="shared" si="3"/>
        <v>75</v>
      </c>
      <c r="W29" s="17">
        <f t="shared" si="3"/>
        <v>75</v>
      </c>
      <c r="X29" s="17">
        <f t="shared" si="3"/>
        <v>75</v>
      </c>
      <c r="Y29" s="17">
        <f t="shared" si="3"/>
        <v>75</v>
      </c>
    </row>
    <row r="30" spans="1:25" x14ac:dyDescent="0.2">
      <c r="A30" s="5" t="s">
        <v>35</v>
      </c>
      <c r="B30" s="17">
        <v>200</v>
      </c>
      <c r="C30" s="17">
        <v>200</v>
      </c>
      <c r="D30" s="17">
        <v>200</v>
      </c>
      <c r="E30" s="17">
        <v>200</v>
      </c>
      <c r="F30" s="17">
        <v>200</v>
      </c>
      <c r="G30" s="17">
        <v>200</v>
      </c>
      <c r="H30" s="17">
        <v>200</v>
      </c>
      <c r="I30" s="17">
        <v>200</v>
      </c>
      <c r="J30" s="17">
        <v>200</v>
      </c>
      <c r="K30" s="17">
        <v>200</v>
      </c>
      <c r="L30" s="17">
        <v>200</v>
      </c>
      <c r="M30" s="17">
        <v>200</v>
      </c>
      <c r="N30" s="17">
        <v>200</v>
      </c>
      <c r="O30" s="17">
        <v>200</v>
      </c>
      <c r="P30" s="17">
        <v>200</v>
      </c>
      <c r="Q30" s="17">
        <v>200</v>
      </c>
      <c r="R30" s="17">
        <v>200</v>
      </c>
      <c r="S30" s="17">
        <v>200</v>
      </c>
      <c r="T30" s="17">
        <v>200</v>
      </c>
      <c r="U30" s="17">
        <v>200</v>
      </c>
      <c r="V30" s="17">
        <v>200</v>
      </c>
      <c r="W30" s="17">
        <v>200</v>
      </c>
      <c r="X30" s="17">
        <v>200</v>
      </c>
      <c r="Y30" s="17">
        <v>200</v>
      </c>
    </row>
    <row r="31" spans="1:25" x14ac:dyDescent="0.2">
      <c r="A31" s="5" t="s">
        <v>36</v>
      </c>
      <c r="B31" s="17">
        <v>600</v>
      </c>
      <c r="C31" s="17">
        <v>600</v>
      </c>
      <c r="D31" s="17">
        <v>600</v>
      </c>
      <c r="E31" s="17">
        <v>600</v>
      </c>
      <c r="F31" s="17">
        <v>600</v>
      </c>
      <c r="G31" s="17">
        <v>600</v>
      </c>
      <c r="H31" s="17">
        <v>600</v>
      </c>
      <c r="I31" s="17">
        <v>600</v>
      </c>
      <c r="J31" s="17">
        <v>600</v>
      </c>
      <c r="K31" s="17">
        <v>600</v>
      </c>
      <c r="L31" s="17">
        <v>600</v>
      </c>
      <c r="M31" s="17">
        <v>600</v>
      </c>
      <c r="N31" s="17">
        <v>600</v>
      </c>
      <c r="O31" s="17">
        <v>600</v>
      </c>
      <c r="P31" s="17">
        <v>600</v>
      </c>
      <c r="Q31" s="17">
        <v>600</v>
      </c>
      <c r="R31" s="17">
        <v>600</v>
      </c>
      <c r="S31" s="17">
        <v>600</v>
      </c>
      <c r="T31" s="17">
        <v>600</v>
      </c>
      <c r="U31" s="17">
        <v>600</v>
      </c>
      <c r="V31" s="17">
        <v>600</v>
      </c>
      <c r="W31" s="17">
        <v>600</v>
      </c>
      <c r="X31" s="17">
        <v>600</v>
      </c>
      <c r="Y31" s="17">
        <v>600</v>
      </c>
    </row>
    <row r="32" spans="1:25" x14ac:dyDescent="0.2">
      <c r="A32" s="5" t="s">
        <v>55</v>
      </c>
      <c r="B32" s="17">
        <v>500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x14ac:dyDescent="0.2">
      <c r="A33" s="5" t="s">
        <v>22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x14ac:dyDescent="0.2">
      <c r="A34" s="5" t="s">
        <v>23</v>
      </c>
      <c r="B34" s="17"/>
      <c r="C34" s="17"/>
      <c r="D34" s="17"/>
      <c r="E34" s="17"/>
      <c r="F34" s="17"/>
      <c r="G34" s="17">
        <v>500</v>
      </c>
      <c r="H34" s="17">
        <v>1000</v>
      </c>
      <c r="I34" s="17">
        <v>1500</v>
      </c>
      <c r="J34" s="17">
        <v>2000</v>
      </c>
      <c r="K34" s="17">
        <v>400</v>
      </c>
      <c r="L34" s="17">
        <v>400</v>
      </c>
      <c r="M34" s="17">
        <v>400</v>
      </c>
      <c r="N34" s="17">
        <v>400</v>
      </c>
      <c r="O34" s="17">
        <v>400</v>
      </c>
      <c r="P34" s="17">
        <v>400</v>
      </c>
      <c r="Q34" s="17">
        <v>400</v>
      </c>
      <c r="R34" s="17">
        <v>400</v>
      </c>
      <c r="S34" s="17">
        <v>400</v>
      </c>
      <c r="T34" s="17">
        <v>400</v>
      </c>
      <c r="U34" s="17">
        <v>400</v>
      </c>
      <c r="V34" s="17">
        <v>400</v>
      </c>
      <c r="W34" s="17">
        <v>400</v>
      </c>
      <c r="X34" s="17">
        <v>400</v>
      </c>
      <c r="Y34" s="17">
        <v>400</v>
      </c>
    </row>
    <row r="35" spans="1:25" x14ac:dyDescent="0.2">
      <c r="A35" s="5" t="s">
        <v>20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x14ac:dyDescent="0.2">
      <c r="A36" s="5" t="s">
        <v>21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x14ac:dyDescent="0.2">
      <c r="A37" s="5" t="s">
        <v>37</v>
      </c>
      <c r="B37" s="17">
        <v>100</v>
      </c>
      <c r="C37" s="17">
        <v>100</v>
      </c>
      <c r="D37" s="17">
        <v>100</v>
      </c>
      <c r="E37" s="17">
        <v>100</v>
      </c>
      <c r="F37" s="17">
        <v>100</v>
      </c>
      <c r="G37" s="17">
        <v>100</v>
      </c>
      <c r="H37" s="17">
        <v>100</v>
      </c>
      <c r="I37" s="17">
        <v>100</v>
      </c>
      <c r="J37" s="17">
        <v>100</v>
      </c>
      <c r="K37" s="17">
        <v>100</v>
      </c>
      <c r="L37" s="17">
        <v>100</v>
      </c>
      <c r="M37" s="17">
        <v>100</v>
      </c>
      <c r="N37" s="17">
        <v>100</v>
      </c>
      <c r="O37" s="17">
        <v>100</v>
      </c>
      <c r="P37" s="17">
        <v>100</v>
      </c>
      <c r="Q37" s="17">
        <v>100</v>
      </c>
      <c r="R37" s="17">
        <v>100</v>
      </c>
      <c r="S37" s="17">
        <v>100</v>
      </c>
      <c r="T37" s="17">
        <v>100</v>
      </c>
      <c r="U37" s="17">
        <v>100</v>
      </c>
      <c r="V37" s="17">
        <v>100</v>
      </c>
      <c r="W37" s="17">
        <v>100</v>
      </c>
      <c r="X37" s="17">
        <v>100</v>
      </c>
      <c r="Y37" s="17">
        <v>100</v>
      </c>
    </row>
    <row r="38" spans="1:25" s="1" customFormat="1" x14ac:dyDescent="0.2">
      <c r="A38" s="18" t="s">
        <v>40</v>
      </c>
      <c r="B38" s="20">
        <f>SUM(B27:B37)</f>
        <v>5901.25</v>
      </c>
      <c r="C38" s="20">
        <f t="shared" ref="C38:Y38" si="4">SUM(C27:C37)</f>
        <v>5406.25</v>
      </c>
      <c r="D38" s="20">
        <f t="shared" si="4"/>
        <v>5412.5</v>
      </c>
      <c r="E38" s="20">
        <f t="shared" si="4"/>
        <v>5418.75</v>
      </c>
      <c r="F38" s="20">
        <f t="shared" si="4"/>
        <v>5425</v>
      </c>
      <c r="G38" s="20">
        <f t="shared" si="4"/>
        <v>5962.5</v>
      </c>
      <c r="H38" s="20">
        <f t="shared" si="4"/>
        <v>6625</v>
      </c>
      <c r="I38" s="20">
        <f t="shared" si="4"/>
        <v>7350</v>
      </c>
      <c r="J38" s="20">
        <f t="shared" si="4"/>
        <v>8200</v>
      </c>
      <c r="K38" s="20">
        <f t="shared" si="4"/>
        <v>5850</v>
      </c>
      <c r="L38" s="20">
        <f t="shared" si="4"/>
        <v>5862.5</v>
      </c>
      <c r="M38" s="20">
        <f t="shared" si="4"/>
        <v>5875</v>
      </c>
      <c r="N38" s="20">
        <f t="shared" si="4"/>
        <v>5875</v>
      </c>
      <c r="O38" s="20">
        <f t="shared" si="4"/>
        <v>5875</v>
      </c>
      <c r="P38" s="20">
        <f t="shared" si="4"/>
        <v>5875</v>
      </c>
      <c r="Q38" s="20">
        <f t="shared" si="4"/>
        <v>5875</v>
      </c>
      <c r="R38" s="20">
        <f t="shared" si="4"/>
        <v>5875</v>
      </c>
      <c r="S38" s="20">
        <f t="shared" si="4"/>
        <v>5875</v>
      </c>
      <c r="T38" s="20">
        <f t="shared" si="4"/>
        <v>5875</v>
      </c>
      <c r="U38" s="20">
        <f t="shared" si="4"/>
        <v>5875</v>
      </c>
      <c r="V38" s="20">
        <f t="shared" si="4"/>
        <v>5875</v>
      </c>
      <c r="W38" s="20">
        <f t="shared" si="4"/>
        <v>5875</v>
      </c>
      <c r="X38" s="20">
        <f t="shared" si="4"/>
        <v>5875</v>
      </c>
      <c r="Y38" s="20">
        <f t="shared" si="4"/>
        <v>5875</v>
      </c>
    </row>
    <row r="39" spans="1:25" x14ac:dyDescent="0.2">
      <c r="A39" s="5"/>
    </row>
    <row r="40" spans="1:25" ht="12.75" x14ac:dyDescent="0.2">
      <c r="A40" s="8" t="s">
        <v>41</v>
      </c>
      <c r="B40" s="21">
        <f>B24-B38</f>
        <v>-5876.25</v>
      </c>
      <c r="C40" s="21">
        <f>C24-C38</f>
        <v>-5281.25</v>
      </c>
      <c r="D40" s="21">
        <f t="shared" ref="D40:Y40" si="5">D24-D38</f>
        <v>-5162.5</v>
      </c>
      <c r="E40" s="21">
        <f t="shared" si="5"/>
        <v>-5043.75</v>
      </c>
      <c r="F40" s="21">
        <f t="shared" si="5"/>
        <v>-4925</v>
      </c>
      <c r="G40" s="21">
        <f t="shared" si="5"/>
        <v>-4712.5</v>
      </c>
      <c r="H40" s="21">
        <f t="shared" si="5"/>
        <v>-2125</v>
      </c>
      <c r="I40" s="21">
        <f t="shared" si="5"/>
        <v>1650</v>
      </c>
      <c r="J40" s="21">
        <f t="shared" si="5"/>
        <v>7800</v>
      </c>
      <c r="K40" s="21">
        <f t="shared" si="5"/>
        <v>3150</v>
      </c>
      <c r="L40" s="21">
        <f t="shared" si="5"/>
        <v>-612.5</v>
      </c>
      <c r="M40" s="21">
        <f t="shared" si="5"/>
        <v>-375</v>
      </c>
      <c r="N40" s="21">
        <f t="shared" si="5"/>
        <v>3625</v>
      </c>
      <c r="O40" s="21">
        <f t="shared" si="5"/>
        <v>3625</v>
      </c>
      <c r="P40" s="21">
        <f t="shared" si="5"/>
        <v>3625</v>
      </c>
      <c r="Q40" s="21">
        <f t="shared" si="5"/>
        <v>3625</v>
      </c>
      <c r="R40" s="21">
        <f t="shared" si="5"/>
        <v>11625</v>
      </c>
      <c r="S40" s="21">
        <f t="shared" si="5"/>
        <v>11625</v>
      </c>
      <c r="T40" s="21">
        <f t="shared" si="5"/>
        <v>11625</v>
      </c>
      <c r="U40" s="21">
        <f t="shared" si="5"/>
        <v>11625</v>
      </c>
      <c r="V40" s="21">
        <f t="shared" si="5"/>
        <v>19625</v>
      </c>
      <c r="W40" s="21">
        <f t="shared" si="5"/>
        <v>19625</v>
      </c>
      <c r="X40" s="21">
        <f t="shared" si="5"/>
        <v>19625</v>
      </c>
      <c r="Y40" s="21">
        <f t="shared" si="5"/>
        <v>19625</v>
      </c>
    </row>
    <row r="41" spans="1:25" ht="12.75" x14ac:dyDescent="0.2">
      <c r="A41" s="8" t="s">
        <v>28</v>
      </c>
      <c r="B41" s="21">
        <f t="shared" ref="B41:Y41" si="6">B14+B24-B38</f>
        <v>54123.75</v>
      </c>
      <c r="C41" s="21">
        <f t="shared" si="6"/>
        <v>48842.5</v>
      </c>
      <c r="D41" s="21">
        <f t="shared" si="6"/>
        <v>43680</v>
      </c>
      <c r="E41" s="21">
        <f t="shared" si="6"/>
        <v>38636.25</v>
      </c>
      <c r="F41" s="21">
        <f t="shared" si="6"/>
        <v>33711.25</v>
      </c>
      <c r="G41" s="21">
        <f t="shared" si="6"/>
        <v>28998.75</v>
      </c>
      <c r="H41" s="21">
        <f t="shared" si="6"/>
        <v>26873.75</v>
      </c>
      <c r="I41" s="21">
        <f t="shared" si="6"/>
        <v>28523.75</v>
      </c>
      <c r="J41" s="21">
        <f t="shared" si="6"/>
        <v>36323.75</v>
      </c>
      <c r="K41" s="21">
        <f t="shared" si="6"/>
        <v>39473.75</v>
      </c>
      <c r="L41" s="21">
        <f t="shared" si="6"/>
        <v>38861.25</v>
      </c>
      <c r="M41" s="21">
        <f t="shared" si="6"/>
        <v>38486.25</v>
      </c>
      <c r="N41" s="21">
        <f t="shared" si="6"/>
        <v>42111.25</v>
      </c>
      <c r="O41" s="21">
        <f t="shared" si="6"/>
        <v>45736.25</v>
      </c>
      <c r="P41" s="21">
        <f t="shared" si="6"/>
        <v>49361.25</v>
      </c>
      <c r="Q41" s="21">
        <f t="shared" si="6"/>
        <v>52986.25</v>
      </c>
      <c r="R41" s="21">
        <f t="shared" si="6"/>
        <v>64611.25</v>
      </c>
      <c r="S41" s="21">
        <f t="shared" si="6"/>
        <v>76236.25</v>
      </c>
      <c r="T41" s="21">
        <f t="shared" si="6"/>
        <v>87861.25</v>
      </c>
      <c r="U41" s="21">
        <f t="shared" si="6"/>
        <v>99486.25</v>
      </c>
      <c r="V41" s="21">
        <f t="shared" si="6"/>
        <v>119111.25</v>
      </c>
      <c r="W41" s="21">
        <f t="shared" si="6"/>
        <v>138736.25</v>
      </c>
      <c r="X41" s="21">
        <f t="shared" si="6"/>
        <v>158361.25</v>
      </c>
      <c r="Y41" s="21">
        <f t="shared" si="6"/>
        <v>177986.25</v>
      </c>
    </row>
    <row r="42" spans="1:25" ht="12.75" x14ac:dyDescent="0.2">
      <c r="A42" s="8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12.75" x14ac:dyDescent="0.2">
      <c r="A43" s="8" t="s">
        <v>53</v>
      </c>
      <c r="B43" s="23">
        <f>SUM(sales_jan_1+ent_sales_jan_1+soc_sales_jan_1)</f>
        <v>10</v>
      </c>
      <c r="C43" s="23">
        <f>SUM(sales_feb_1+ent_sales_feb_1+soc_sales_feb_1)</f>
        <v>50</v>
      </c>
      <c r="D43" s="23">
        <f>SUM(sales_mar_1+ent_sales_mar_1+soc_sales_mar_1)</f>
        <v>100</v>
      </c>
      <c r="E43" s="23">
        <f>SUM(sales_apr_1+ent_sales_apr_1+soc_sales_apr_1)</f>
        <v>150</v>
      </c>
      <c r="F43" s="23">
        <f>SUM(sales_may_1+ent_sales_may_1+soc_sales_may_1)</f>
        <v>200</v>
      </c>
      <c r="G43" s="23">
        <f>SUM(sales_jun_1+ent_sales_jun_1+soc_sales_jun_1)</f>
        <v>500</v>
      </c>
      <c r="H43" s="23">
        <f>SUM(sales_jul_1+ent_sales_jul_1+soc_sales_jul_1)</f>
        <v>1100</v>
      </c>
      <c r="I43" s="23">
        <f>SUM(sales_aug_1+ent_sales_aug_1+soc_sales_aug_1)</f>
        <v>2200</v>
      </c>
      <c r="J43" s="23">
        <f>SUM(sales_sep_1+ent_sales_sep_1+soc_sales_sep_1)</f>
        <v>4300</v>
      </c>
      <c r="K43" s="23">
        <f>SUM(sales_oct_1+ent_sales_oct_1+soc_sales_oct_1)</f>
        <v>600</v>
      </c>
      <c r="L43" s="23">
        <f>SUM(sales_nov_1+ent_sales_nov_1+soc_sales_nov_1)</f>
        <v>450</v>
      </c>
      <c r="M43" s="23">
        <f>SUM(sales_dec_1+ent_sales_dec_1+soc_sales_dec_1)</f>
        <v>500</v>
      </c>
      <c r="N43" s="23">
        <f>SUM(sales_jan_2+ent_sales_jan_2+soc_sales_jan_2)</f>
        <v>750</v>
      </c>
      <c r="O43" s="23">
        <f>SUM(sales_feb_2+ent_sales_feb_2+soc_sales_feb_2)</f>
        <v>750</v>
      </c>
      <c r="P43" s="23">
        <f>SUM(sales_mar_2+ent_sales_mar_2+soc_sales_mar_2)</f>
        <v>800</v>
      </c>
      <c r="Q43" s="23">
        <f>SUM(sales_apr_2+ent_sales_apr_2+soc_sales_apr_2)</f>
        <v>800</v>
      </c>
      <c r="R43" s="23">
        <f>SUM(sales_may_2+ent_sales_may_2+soc_sales_may_2)</f>
        <v>1300</v>
      </c>
      <c r="S43" s="23">
        <f>SUM(sales_jun_2+ent_sales_jun_2+soc_sales_jun_2)</f>
        <v>1300</v>
      </c>
      <c r="T43" s="23">
        <f>SUM(sales_jul_2+ent_sales_jul_2+soc_sales_jul_2)</f>
        <v>1500</v>
      </c>
      <c r="U43" s="23">
        <f>SUM(sales_aug_2+ent_sales_aug_2+soc_sales_aug_2)</f>
        <v>1500</v>
      </c>
      <c r="V43" s="23">
        <f>SUM(sales_sep_2+ent_sales_sep_2+soc_sales_sep_2)</f>
        <v>2300</v>
      </c>
      <c r="W43" s="23">
        <f>SUM(sales_oct_2+ent_sales_oct_2+soc_sales_oct_2)</f>
        <v>2300</v>
      </c>
      <c r="X43" s="23">
        <f>SUM(sales_nov_2+ent_sales_nov_2+soc_sales_nov_2)</f>
        <v>2700</v>
      </c>
      <c r="Y43" s="23">
        <f>SUM(sales_dec_2+ent_sales_dec_2+soc_sales_dec_2)</f>
        <v>2700</v>
      </c>
    </row>
    <row r="44" spans="1:25" ht="12.75" x14ac:dyDescent="0.2">
      <c r="A44" s="8" t="s">
        <v>54</v>
      </c>
      <c r="B44" s="21">
        <f>B40/B43</f>
        <v>-587.625</v>
      </c>
      <c r="C44" s="21">
        <f>C40/C43</f>
        <v>-105.625</v>
      </c>
      <c r="D44" s="21">
        <f t="shared" ref="D44:Y44" si="7">D40/D43</f>
        <v>-51.625</v>
      </c>
      <c r="E44" s="21">
        <f t="shared" si="7"/>
        <v>-33.625</v>
      </c>
      <c r="F44" s="21">
        <f t="shared" si="7"/>
        <v>-24.625</v>
      </c>
      <c r="G44" s="21">
        <f t="shared" si="7"/>
        <v>-9.4250000000000007</v>
      </c>
      <c r="H44" s="21">
        <f t="shared" si="7"/>
        <v>-1.9318181818181819</v>
      </c>
      <c r="I44" s="21">
        <f t="shared" si="7"/>
        <v>0.75</v>
      </c>
      <c r="J44" s="21">
        <f t="shared" si="7"/>
        <v>1.8139534883720929</v>
      </c>
      <c r="K44" s="21">
        <f t="shared" si="7"/>
        <v>5.25</v>
      </c>
      <c r="L44" s="21">
        <f t="shared" si="7"/>
        <v>-1.3611111111111112</v>
      </c>
      <c r="M44" s="21">
        <f t="shared" si="7"/>
        <v>-0.75</v>
      </c>
      <c r="N44" s="21">
        <f t="shared" si="7"/>
        <v>4.833333333333333</v>
      </c>
      <c r="O44" s="21">
        <f t="shared" si="7"/>
        <v>4.833333333333333</v>
      </c>
      <c r="P44" s="21">
        <f t="shared" si="7"/>
        <v>4.53125</v>
      </c>
      <c r="Q44" s="21">
        <f t="shared" si="7"/>
        <v>4.53125</v>
      </c>
      <c r="R44" s="21">
        <f t="shared" si="7"/>
        <v>8.9423076923076916</v>
      </c>
      <c r="S44" s="21">
        <f t="shared" si="7"/>
        <v>8.9423076923076916</v>
      </c>
      <c r="T44" s="21">
        <f t="shared" si="7"/>
        <v>7.75</v>
      </c>
      <c r="U44" s="21">
        <f t="shared" si="7"/>
        <v>7.75</v>
      </c>
      <c r="V44" s="21">
        <f t="shared" si="7"/>
        <v>8.5326086956521738</v>
      </c>
      <c r="W44" s="21">
        <f t="shared" si="7"/>
        <v>8.5326086956521738</v>
      </c>
      <c r="X44" s="21">
        <f t="shared" si="7"/>
        <v>7.2685185185185182</v>
      </c>
      <c r="Y44" s="21">
        <f t="shared" si="7"/>
        <v>7.2685185185185182</v>
      </c>
    </row>
    <row r="46" spans="1:25" x14ac:dyDescent="0.2">
      <c r="A46" s="2" t="s">
        <v>30</v>
      </c>
    </row>
  </sheetData>
  <mergeCells count="2">
    <mergeCell ref="B11:M11"/>
    <mergeCell ref="N11:Y1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76</vt:i4>
      </vt:variant>
    </vt:vector>
  </HeadingPairs>
  <TitlesOfParts>
    <vt:vector size="78" baseType="lpstr">
      <vt:lpstr>Planning</vt:lpstr>
      <vt:lpstr>Sheet3</vt:lpstr>
      <vt:lpstr>ent_price</vt:lpstr>
      <vt:lpstr>ent_sales_apr_1</vt:lpstr>
      <vt:lpstr>ent_sales_apr_2</vt:lpstr>
      <vt:lpstr>ent_sales_aug_1</vt:lpstr>
      <vt:lpstr>ent_sales_aug_2</vt:lpstr>
      <vt:lpstr>ent_sales_dec_1</vt:lpstr>
      <vt:lpstr>ent_sales_dec_2</vt:lpstr>
      <vt:lpstr>ent_sales_feb_1</vt:lpstr>
      <vt:lpstr>ent_sales_feb_2</vt:lpstr>
      <vt:lpstr>ent_sales_jan_1</vt:lpstr>
      <vt:lpstr>ent_sales_jan_2</vt:lpstr>
      <vt:lpstr>ent_sales_jul_1</vt:lpstr>
      <vt:lpstr>ent_sales_jul_2</vt:lpstr>
      <vt:lpstr>ent_sales_jun_1</vt:lpstr>
      <vt:lpstr>ent_sales_jun_2</vt:lpstr>
      <vt:lpstr>ent_sales_mar_1</vt:lpstr>
      <vt:lpstr>ent_sales_mar_2</vt:lpstr>
      <vt:lpstr>ent_sales_may_1</vt:lpstr>
      <vt:lpstr>ent_sales_may_2</vt:lpstr>
      <vt:lpstr>ent_sales_nov_1</vt:lpstr>
      <vt:lpstr>ent_sales_nov_2</vt:lpstr>
      <vt:lpstr>ent_sales_oct_1</vt:lpstr>
      <vt:lpstr>ent_sales_oct_2</vt:lpstr>
      <vt:lpstr>ent_sales_sep_1</vt:lpstr>
      <vt:lpstr>ent_sales_sep_2</vt:lpstr>
      <vt:lpstr>sale_price</vt:lpstr>
      <vt:lpstr>sales_apr_1</vt:lpstr>
      <vt:lpstr>sales_apr_2</vt:lpstr>
      <vt:lpstr>sales_aug_1</vt:lpstr>
      <vt:lpstr>sales_aug_2</vt:lpstr>
      <vt:lpstr>sales_dec_1</vt:lpstr>
      <vt:lpstr>sales_dec_2</vt:lpstr>
      <vt:lpstr>sales_feb_1</vt:lpstr>
      <vt:lpstr>sales_feb_2</vt:lpstr>
      <vt:lpstr>sales_jan_1</vt:lpstr>
      <vt:lpstr>sales_jan_2</vt:lpstr>
      <vt:lpstr>sales_jul_1</vt:lpstr>
      <vt:lpstr>sales_jul_2</vt:lpstr>
      <vt:lpstr>sales_jun_1</vt:lpstr>
      <vt:lpstr>sales_jun_2</vt:lpstr>
      <vt:lpstr>sales_mar_01</vt:lpstr>
      <vt:lpstr>sales_mar_1</vt:lpstr>
      <vt:lpstr>sales_mar_2</vt:lpstr>
      <vt:lpstr>sales_may_1</vt:lpstr>
      <vt:lpstr>sales_may_2</vt:lpstr>
      <vt:lpstr>sales_nov_1</vt:lpstr>
      <vt:lpstr>sales_nov_2</vt:lpstr>
      <vt:lpstr>sales_oct_1</vt:lpstr>
      <vt:lpstr>sales_oct_2</vt:lpstr>
      <vt:lpstr>sales_sep_1</vt:lpstr>
      <vt:lpstr>sales_sep_2</vt:lpstr>
      <vt:lpstr>soc_price</vt:lpstr>
      <vt:lpstr>soc_sales_apr_1</vt:lpstr>
      <vt:lpstr>soc_sales_apr_2</vt:lpstr>
      <vt:lpstr>soc_sales_aug_1</vt:lpstr>
      <vt:lpstr>soc_sales_aug_2</vt:lpstr>
      <vt:lpstr>soc_sales_dec_1</vt:lpstr>
      <vt:lpstr>soc_sales_dec_2</vt:lpstr>
      <vt:lpstr>soc_sales_feb_1</vt:lpstr>
      <vt:lpstr>soc_sales_feb_2</vt:lpstr>
      <vt:lpstr>soc_sales_jan_1</vt:lpstr>
      <vt:lpstr>soc_sales_jan_2</vt:lpstr>
      <vt:lpstr>soc_sales_jul_1</vt:lpstr>
      <vt:lpstr>soc_sales_jul_2</vt:lpstr>
      <vt:lpstr>soc_sales_jun_1</vt:lpstr>
      <vt:lpstr>soc_sales_jun_2</vt:lpstr>
      <vt:lpstr>soc_sales_mar_1</vt:lpstr>
      <vt:lpstr>soc_sales_mar_2</vt:lpstr>
      <vt:lpstr>soc_sales_may_1</vt:lpstr>
      <vt:lpstr>soc_sales_may_2</vt:lpstr>
      <vt:lpstr>soc_sales_nov_1</vt:lpstr>
      <vt:lpstr>soc_sales_nov_2</vt:lpstr>
      <vt:lpstr>soc_sales_oct_1</vt:lpstr>
      <vt:lpstr>soc_sales_oct_2</vt:lpstr>
      <vt:lpstr>soc_sales_sep_1</vt:lpstr>
      <vt:lpstr>soc_sales_sep_2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dcterms:created xsi:type="dcterms:W3CDTF">2011-08-20T21:04:16Z</dcterms:created>
  <dcterms:modified xsi:type="dcterms:W3CDTF">2012-02-12T14:59:03Z</dcterms:modified>
</cp:coreProperties>
</file>